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pavlina_ad_helsinki_fi/Documents/Manuscripts/MNase paper/2023-MNase_Manuscript/MNaseBioprotocol/"/>
    </mc:Choice>
  </mc:AlternateContent>
  <xr:revisionPtr revIDLastSave="308" documentId="8_{01DA19F5-A772-4CE0-A777-BF2701C7F957}" xr6:coauthVersionLast="47" xr6:coauthVersionMax="47" xr10:uidLastSave="{038940F8-8D46-4BFA-961A-56935EDFAFF4}"/>
  <bookViews>
    <workbookView xWindow="-120" yWindow="-120" windowWidth="29040" windowHeight="15720" firstSheet="1" activeTab="1" xr2:uid="{B882E03C-E151-40F5-85D8-8C0432E5B16C}"/>
  </bookViews>
  <sheets>
    <sheet name="Suppl. Table 1" sheetId="1" r:id="rId1"/>
    <sheet name="Suppl. Table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C35" i="2"/>
  <c r="G35" i="2"/>
  <c r="D35" i="2"/>
  <c r="E35" i="2"/>
  <c r="F35" i="2"/>
  <c r="D36" i="2"/>
  <c r="D37" i="2" s="1"/>
  <c r="D38" i="2" s="1"/>
  <c r="E36" i="2"/>
  <c r="F36" i="2"/>
  <c r="G36" i="2"/>
  <c r="C36" i="2"/>
  <c r="E37" i="2" l="1"/>
  <c r="E38" i="2" s="1"/>
  <c r="G37" i="2"/>
  <c r="F37" i="2"/>
  <c r="C37" i="2"/>
  <c r="G38" i="2"/>
  <c r="F38" i="2"/>
  <c r="C38" i="2"/>
  <c r="C46" i="2" l="1"/>
  <c r="C45" i="2"/>
  <c r="C44" i="2"/>
  <c r="D14" i="1" l="1"/>
  <c r="E11" i="1"/>
  <c r="C14" i="1"/>
  <c r="D15" i="1" l="1"/>
  <c r="D16" i="1" s="1"/>
  <c r="D17" i="1" s="1"/>
  <c r="D18" i="1" s="1"/>
  <c r="D19" i="1" s="1"/>
  <c r="D20" i="1" s="1"/>
  <c r="D21" i="1" s="1"/>
  <c r="D22" i="1" s="1"/>
  <c r="D23" i="1" s="1"/>
  <c r="D24" i="1" s="1"/>
  <c r="C15" i="1" l="1"/>
  <c r="C16" i="1" s="1"/>
  <c r="C17" i="1" s="1"/>
  <c r="C18" i="1" l="1"/>
  <c r="C19" i="1" s="1"/>
  <c r="C20" i="1" s="1"/>
  <c r="C21" i="1" s="1"/>
  <c r="C22" i="1" s="1"/>
  <c r="C23" i="1" l="1"/>
  <c r="C24" i="1" s="1"/>
</calcChain>
</file>

<file path=xl/sharedStrings.xml><?xml version="1.0" encoding="utf-8"?>
<sst xmlns="http://schemas.openxmlformats.org/spreadsheetml/2006/main" count="93" uniqueCount="77">
  <si>
    <t>Supplementary Table 1 - Example of  buffer exchange steps calculation</t>
  </si>
  <si>
    <t>This example calculates no of buffer exchange steps needed to decrease imidazole conc. &lt; 1 mM.</t>
  </si>
  <si>
    <t>In this scenario, MNase is concentrated to ~1 mL in each centrifugation step and subsequently diluted by 9 mL of storage buffer.</t>
  </si>
  <si>
    <t>By substituting values in red, the no of buffer exchange steps will be calculated automatically (higlighted in green).</t>
  </si>
  <si>
    <t>Concentrated MNase (in each step)</t>
  </si>
  <si>
    <t>mL</t>
  </si>
  <si>
    <t>Added storage buffer (in each step)</t>
  </si>
  <si>
    <t>Starting conc.</t>
  </si>
  <si>
    <t>mM</t>
  </si>
  <si>
    <t>Final conc.</t>
  </si>
  <si>
    <t>Dilution</t>
  </si>
  <si>
    <t>step no.</t>
  </si>
  <si>
    <t>Dilution series (mM)</t>
  </si>
  <si>
    <t>Supplementary Table 2 - Example of MNase activity calculation</t>
  </si>
  <si>
    <t>Example output from Non-linear curve fitting in GraphPad Prism. For own calculation, replace numbers in grey.</t>
  </si>
  <si>
    <t>MNase amount</t>
  </si>
  <si>
    <r>
      <t xml:space="preserve">0.03 </t>
    </r>
    <r>
      <rPr>
        <sz val="10"/>
        <rFont val="Aptos Narrow"/>
        <family val="2"/>
      </rPr>
      <t>μ</t>
    </r>
    <r>
      <rPr>
        <sz val="10"/>
        <rFont val="Arial"/>
        <family val="2"/>
      </rPr>
      <t>g</t>
    </r>
  </si>
  <si>
    <t>0.06 μg</t>
  </si>
  <si>
    <t>0.12 μg</t>
  </si>
  <si>
    <t>0.24 μg</t>
  </si>
  <si>
    <t>0.48 μg</t>
  </si>
  <si>
    <t>One-phase association</t>
  </si>
  <si>
    <t>Best-fit values</t>
  </si>
  <si>
    <t>Y0</t>
  </si>
  <si>
    <t>Plateau</t>
  </si>
  <si>
    <t>K</t>
  </si>
  <si>
    <t>Tau</t>
  </si>
  <si>
    <t>Half-time</t>
  </si>
  <si>
    <t>Span</t>
  </si>
  <si>
    <t>95% CI (profile likelihood)</t>
  </si>
  <si>
    <t>0.3078 to 0.3131</t>
  </si>
  <si>
    <t>0.3035 to 0.3082</t>
  </si>
  <si>
    <t>0.3057 to 0.3088</t>
  </si>
  <si>
    <t>0.2876 to 0.2908</t>
  </si>
  <si>
    <t>0.2790 to 0.2835</t>
  </si>
  <si>
    <t>0.06180 to 0.06516</t>
  </si>
  <si>
    <t>0.08288 to 0.08796</t>
  </si>
  <si>
    <t>0.1302 to 0.1372</t>
  </si>
  <si>
    <t>0.2198 to 0.2386</t>
  </si>
  <si>
    <t>0.3802 to 0.4546</t>
  </si>
  <si>
    <t>15.35 to 16.18</t>
  </si>
  <si>
    <t>11.37 to 12.07</t>
  </si>
  <si>
    <t>7.289 to 7.678</t>
  </si>
  <si>
    <t>4.190 to 4.549</t>
  </si>
  <si>
    <t>2.200 to 2.630</t>
  </si>
  <si>
    <t>10.64 to 11.22</t>
  </si>
  <si>
    <t>7.880 to 8.363</t>
  </si>
  <si>
    <t>5.052 to 5.322</t>
  </si>
  <si>
    <t>2.905 to 3.153</t>
  </si>
  <si>
    <t>1.525 to 1.823</t>
  </si>
  <si>
    <t>Goodness of Fit</t>
  </si>
  <si>
    <t>Degrees of Freedom</t>
  </si>
  <si>
    <t>R squared</t>
  </si>
  <si>
    <t>Sum of Squares</t>
  </si>
  <si>
    <t>Sy.x</t>
  </si>
  <si>
    <t>Constraints</t>
  </si>
  <si>
    <t>Y0 = 0</t>
  </si>
  <si>
    <t>K &gt; 0</t>
  </si>
  <si>
    <t>Number of points</t>
  </si>
  <si>
    <t># of X values</t>
  </si>
  <si>
    <t># Y values analyzed</t>
  </si>
  <si>
    <t>equation:</t>
  </si>
  <si>
    <t>Ax = A0 + (P-A0)*(1-e^(-K*x))</t>
  </si>
  <si>
    <t>protein amount</t>
  </si>
  <si>
    <t>μg</t>
  </si>
  <si>
    <t>at 0 min</t>
  </si>
  <si>
    <t>at 1 min</t>
  </si>
  <si>
    <r>
      <t>slope (</t>
    </r>
    <r>
      <rPr>
        <sz val="11"/>
        <color theme="1"/>
        <rFont val="Aptos Narrow"/>
        <family val="2"/>
      </rPr>
      <t>ΔA/Δt)</t>
    </r>
  </si>
  <si>
    <t>activity (slope/0.005)</t>
  </si>
  <si>
    <t>Linear regression of activity vs Mnase conc.</t>
  </si>
  <si>
    <r>
      <rPr>
        <b/>
        <sz val="11"/>
        <color theme="1"/>
        <rFont val="Aptos Narrow"/>
        <family val="2"/>
        <scheme val="minor"/>
      </rPr>
      <t xml:space="preserve">Note: </t>
    </r>
    <r>
      <rPr>
        <sz val="11"/>
        <color theme="1"/>
        <rFont val="Aptos Narrow"/>
        <family val="2"/>
        <scheme val="minor"/>
      </rPr>
      <t>slope corresponds to specific activity (U/μg)</t>
    </r>
  </si>
  <si>
    <t>Specific activity (U/μg)</t>
  </si>
  <si>
    <t>Std error (SE) (U/μg)</t>
  </si>
  <si>
    <t>R2 (Pearson)</t>
  </si>
  <si>
    <t>If the regression has poorer fit (&lt;0.95), the R2 value will appear in red.</t>
  </si>
  <si>
    <t>Activity (U/μL)</t>
  </si>
  <si>
    <t>Mnase stock conc. (μg/μL)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</si>
</sst>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D6D0C8"/>
      <name val="Inherit"/>
    </font>
    <font>
      <sz val="10"/>
      <name val="Inherit"/>
    </font>
    <font>
      <sz val="10"/>
      <name val="Arial"/>
      <family val="2"/>
    </font>
    <font>
      <sz val="11"/>
      <color theme="1"/>
      <name val="Aptos Narrow"/>
      <family val="2"/>
    </font>
    <font>
      <sz val="10"/>
      <color theme="0" tint="-0.34998626667073579"/>
      <name val="Arial"/>
      <family val="2"/>
    </font>
    <font>
      <sz val="10"/>
      <name val="Aptos Narrow"/>
      <family val="2"/>
    </font>
    <font>
      <sz val="11"/>
      <color theme="0" tint="-0.3499862666707357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right"/>
    </xf>
    <xf numFmtId="2" fontId="1" fillId="2" borderId="0" xfId="1" applyNumberFormat="1"/>
    <xf numFmtId="0" fontId="5" fillId="0" borderId="0" xfId="0" applyFont="1" applyAlignment="1">
      <alignment vertical="center" wrapText="1"/>
    </xf>
    <xf numFmtId="166" fontId="0" fillId="0" borderId="0" xfId="0" applyNumberFormat="1"/>
    <xf numFmtId="0" fontId="10" fillId="0" borderId="0" xfId="0" applyFont="1"/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2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3394-677F-4061-A108-7981A7E7007E}">
  <dimension ref="A1:F24"/>
  <sheetViews>
    <sheetView workbookViewId="0"/>
  </sheetViews>
  <sheetFormatPr defaultRowHeight="15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6" spans="1:6">
      <c r="A6" t="s">
        <v>4</v>
      </c>
      <c r="E6" s="2">
        <v>1</v>
      </c>
      <c r="F6" t="s">
        <v>5</v>
      </c>
    </row>
    <row r="7" spans="1:6">
      <c r="A7" t="s">
        <v>6</v>
      </c>
      <c r="E7" s="2">
        <v>9</v>
      </c>
      <c r="F7" t="s">
        <v>5</v>
      </c>
    </row>
    <row r="9" spans="1:6">
      <c r="A9" t="s">
        <v>7</v>
      </c>
      <c r="E9">
        <v>250</v>
      </c>
      <c r="F9" t="s">
        <v>8</v>
      </c>
    </row>
    <row r="10" spans="1:6">
      <c r="A10" t="s">
        <v>9</v>
      </c>
      <c r="E10">
        <v>1</v>
      </c>
      <c r="F10" t="s">
        <v>8</v>
      </c>
    </row>
    <row r="11" spans="1:6">
      <c r="A11" t="s">
        <v>10</v>
      </c>
      <c r="E11" s="7">
        <f>E6/SUM(E6:E7)</f>
        <v>0.1</v>
      </c>
    </row>
    <row r="13" spans="1:6" ht="45">
      <c r="C13" t="s">
        <v>11</v>
      </c>
      <c r="D13" s="8" t="s">
        <v>12</v>
      </c>
    </row>
    <row r="14" spans="1:6">
      <c r="C14">
        <f>1</f>
        <v>1</v>
      </c>
      <c r="D14">
        <f>$E$9</f>
        <v>250</v>
      </c>
      <c r="F14" s="3"/>
    </row>
    <row r="15" spans="1:6">
      <c r="C15" s="4">
        <f>IF(D15&lt;&gt;"",C14+1,"")</f>
        <v>2</v>
      </c>
      <c r="D15" s="5">
        <f>IF(D14&lt;&gt;"", D14*$E$11, "")</f>
        <v>25</v>
      </c>
      <c r="F15" s="3"/>
    </row>
    <row r="16" spans="1:6">
      <c r="C16" s="4">
        <f>IF(D16&lt;&gt;"",C15+1,"")</f>
        <v>3</v>
      </c>
      <c r="D16" s="5">
        <f t="shared" ref="D16:D24" si="0">IF(D15&lt;&gt;"", D15*$E$11, "")</f>
        <v>2.5</v>
      </c>
      <c r="F16" s="3"/>
    </row>
    <row r="17" spans="3:6">
      <c r="C17" s="4">
        <f>IF(D17&lt;&gt;"",C16+1,"")</f>
        <v>4</v>
      </c>
      <c r="D17" s="5">
        <f t="shared" si="0"/>
        <v>0.25</v>
      </c>
      <c r="F17" s="3"/>
    </row>
    <row r="18" spans="3:6">
      <c r="C18" s="4">
        <f>IF(D18&lt;&gt;"",C17+1,"")</f>
        <v>5</v>
      </c>
      <c r="D18" s="5">
        <f t="shared" si="0"/>
        <v>2.5000000000000001E-2</v>
      </c>
      <c r="F18" s="3"/>
    </row>
    <row r="19" spans="3:6">
      <c r="C19" s="4">
        <f>IF(D19&lt;&gt;"",C18+1,"")</f>
        <v>6</v>
      </c>
      <c r="D19" s="5">
        <f t="shared" si="0"/>
        <v>2.5000000000000005E-3</v>
      </c>
      <c r="F19" s="3"/>
    </row>
    <row r="20" spans="3:6">
      <c r="C20" s="4">
        <f>IF(D20&lt;&gt;"",C19+1,"")</f>
        <v>7</v>
      </c>
      <c r="D20" s="5">
        <f t="shared" si="0"/>
        <v>2.5000000000000006E-4</v>
      </c>
      <c r="F20" s="3"/>
    </row>
    <row r="21" spans="3:6">
      <c r="C21" s="4">
        <f>IF(D21&lt;&gt;"",C20+1,"")</f>
        <v>8</v>
      </c>
      <c r="D21" s="5">
        <f t="shared" si="0"/>
        <v>2.5000000000000008E-5</v>
      </c>
      <c r="F21" s="3"/>
    </row>
    <row r="22" spans="3:6">
      <c r="C22" s="4">
        <f>IF(D22&lt;&gt;"",C21+1,"")</f>
        <v>9</v>
      </c>
      <c r="D22" s="5">
        <f t="shared" si="0"/>
        <v>2.5000000000000011E-6</v>
      </c>
    </row>
    <row r="23" spans="3:6">
      <c r="C23" s="4">
        <f>IF(D23&lt;&gt;"",C22+1,"")</f>
        <v>10</v>
      </c>
      <c r="D23" s="5">
        <f t="shared" si="0"/>
        <v>2.5000000000000009E-7</v>
      </c>
    </row>
    <row r="24" spans="3:6">
      <c r="C24" s="4">
        <f>IF(D24&lt;&gt;"",C23+1,"")</f>
        <v>11</v>
      </c>
      <c r="D24" s="5">
        <f t="shared" si="0"/>
        <v>2.5000000000000012E-8</v>
      </c>
    </row>
  </sheetData>
  <conditionalFormatting sqref="C14:D24">
    <cfRule type="expression" dxfId="1" priority="1">
      <formula>AND($D14&lt;$E$10, COUNTIF($D$14:$D14,"&lt;"&amp;$E$10)=1)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8922-15CD-4470-9893-48A7656FB540}">
  <dimension ref="A1:G51"/>
  <sheetViews>
    <sheetView tabSelected="1" topLeftCell="A22" workbookViewId="0">
      <selection activeCell="E50" sqref="E50"/>
    </sheetView>
  </sheetViews>
  <sheetFormatPr defaultRowHeight="15"/>
  <cols>
    <col min="1" max="1" width="16.5703125" customWidth="1"/>
    <col min="2" max="2" width="23.5703125" customWidth="1"/>
    <col min="3" max="3" width="17.140625" customWidth="1"/>
    <col min="4" max="4" width="17.5703125" customWidth="1"/>
    <col min="5" max="6" width="15.28515625" customWidth="1"/>
    <col min="7" max="7" width="17.42578125" customWidth="1"/>
  </cols>
  <sheetData>
    <row r="1" spans="1:7">
      <c r="A1" s="1" t="s">
        <v>13</v>
      </c>
    </row>
    <row r="2" spans="1:7">
      <c r="A2" t="s">
        <v>14</v>
      </c>
    </row>
    <row r="4" spans="1:7">
      <c r="C4" s="18" t="s">
        <v>15</v>
      </c>
      <c r="D4" s="18"/>
      <c r="E4" s="18"/>
      <c r="F4" s="18"/>
      <c r="G4" s="18"/>
    </row>
    <row r="5" spans="1:7"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</row>
    <row r="6" spans="1:7">
      <c r="B6" s="10" t="s">
        <v>21</v>
      </c>
      <c r="C6" s="9"/>
      <c r="D6" s="9"/>
      <c r="E6" s="9"/>
      <c r="F6" s="9"/>
      <c r="G6" s="9"/>
    </row>
    <row r="7" spans="1:7">
      <c r="B7" s="10" t="s">
        <v>22</v>
      </c>
      <c r="C7" s="9"/>
      <c r="D7" s="9"/>
      <c r="E7" s="9"/>
      <c r="F7" s="9"/>
      <c r="G7" s="9"/>
    </row>
    <row r="8" spans="1:7">
      <c r="B8" s="10" t="s">
        <v>23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>
      <c r="B9" s="10" t="s">
        <v>24</v>
      </c>
      <c r="C9" s="13">
        <v>0.3105</v>
      </c>
      <c r="D9" s="13">
        <v>0.30580000000000002</v>
      </c>
      <c r="E9" s="13">
        <v>0.30730000000000002</v>
      </c>
      <c r="F9" s="13">
        <v>0.28920000000000001</v>
      </c>
      <c r="G9" s="13">
        <v>0.28129999999999999</v>
      </c>
    </row>
    <row r="10" spans="1:7">
      <c r="B10" s="10" t="s">
        <v>25</v>
      </c>
      <c r="C10" s="13">
        <v>6.3460000000000003E-2</v>
      </c>
      <c r="D10" s="13">
        <v>8.5379999999999998E-2</v>
      </c>
      <c r="E10" s="13">
        <v>0.13370000000000001</v>
      </c>
      <c r="F10" s="13">
        <v>0.22889999999999999</v>
      </c>
      <c r="G10" s="13">
        <v>0.41489999999999999</v>
      </c>
    </row>
    <row r="11" spans="1:7">
      <c r="B11" s="10" t="s">
        <v>26</v>
      </c>
      <c r="C11" s="13">
        <v>15.76</v>
      </c>
      <c r="D11" s="13">
        <v>11.71</v>
      </c>
      <c r="E11" s="13">
        <v>7.4820000000000002</v>
      </c>
      <c r="F11" s="13">
        <v>4.3680000000000003</v>
      </c>
      <c r="G11" s="13">
        <v>2.411</v>
      </c>
    </row>
    <row r="12" spans="1:7">
      <c r="B12" s="10" t="s">
        <v>27</v>
      </c>
      <c r="C12" s="13">
        <v>10.92</v>
      </c>
      <c r="D12" s="13">
        <v>8.1180000000000003</v>
      </c>
      <c r="E12" s="13">
        <v>5.1859999999999999</v>
      </c>
      <c r="F12" s="13">
        <v>3.028</v>
      </c>
      <c r="G12" s="13">
        <v>1.671</v>
      </c>
    </row>
    <row r="13" spans="1:7">
      <c r="B13" s="10" t="s">
        <v>28</v>
      </c>
      <c r="C13" s="13">
        <v>0.3105</v>
      </c>
      <c r="D13" s="13">
        <v>0.30580000000000002</v>
      </c>
      <c r="E13" s="13">
        <v>0.30730000000000002</v>
      </c>
      <c r="F13" s="13">
        <v>0.28920000000000001</v>
      </c>
      <c r="G13" s="13">
        <v>0.28129999999999999</v>
      </c>
    </row>
    <row r="14" spans="1:7">
      <c r="B14" s="10" t="s">
        <v>29</v>
      </c>
      <c r="C14" s="13"/>
      <c r="D14" s="13"/>
      <c r="E14" s="13"/>
      <c r="F14" s="13"/>
      <c r="G14" s="13"/>
    </row>
    <row r="15" spans="1:7">
      <c r="B15" s="10" t="s">
        <v>24</v>
      </c>
      <c r="C15" s="13" t="s">
        <v>30</v>
      </c>
      <c r="D15" s="13" t="s">
        <v>31</v>
      </c>
      <c r="E15" s="13" t="s">
        <v>32</v>
      </c>
      <c r="F15" s="13" t="s">
        <v>33</v>
      </c>
      <c r="G15" s="13" t="s">
        <v>34</v>
      </c>
    </row>
    <row r="16" spans="1:7">
      <c r="B16" s="10" t="s">
        <v>25</v>
      </c>
      <c r="C16" s="13" t="s">
        <v>35</v>
      </c>
      <c r="D16" s="13" t="s">
        <v>36</v>
      </c>
      <c r="E16" s="13" t="s">
        <v>37</v>
      </c>
      <c r="F16" s="13" t="s">
        <v>38</v>
      </c>
      <c r="G16" s="13" t="s">
        <v>39</v>
      </c>
    </row>
    <row r="17" spans="2:7">
      <c r="B17" s="10" t="s">
        <v>26</v>
      </c>
      <c r="C17" s="13" t="s">
        <v>40</v>
      </c>
      <c r="D17" s="13" t="s">
        <v>41</v>
      </c>
      <c r="E17" s="13" t="s">
        <v>42</v>
      </c>
      <c r="F17" s="13" t="s">
        <v>43</v>
      </c>
      <c r="G17" s="13" t="s">
        <v>44</v>
      </c>
    </row>
    <row r="18" spans="2:7">
      <c r="B18" s="10" t="s">
        <v>27</v>
      </c>
      <c r="C18" s="13" t="s">
        <v>45</v>
      </c>
      <c r="D18" s="13" t="s">
        <v>46</v>
      </c>
      <c r="E18" s="13" t="s">
        <v>47</v>
      </c>
      <c r="F18" s="13" t="s">
        <v>48</v>
      </c>
      <c r="G18" s="13" t="s">
        <v>49</v>
      </c>
    </row>
    <row r="19" spans="2:7">
      <c r="B19" s="10" t="s">
        <v>50</v>
      </c>
      <c r="C19" s="13"/>
      <c r="D19" s="13"/>
      <c r="E19" s="13"/>
      <c r="F19" s="13"/>
      <c r="G19" s="13"/>
    </row>
    <row r="20" spans="2:7">
      <c r="B20" s="10" t="s">
        <v>51</v>
      </c>
      <c r="C20" s="13">
        <v>118</v>
      </c>
      <c r="D20" s="13">
        <v>118</v>
      </c>
      <c r="E20" s="13">
        <v>118</v>
      </c>
      <c r="F20" s="13">
        <v>118</v>
      </c>
      <c r="G20" s="13">
        <v>118</v>
      </c>
    </row>
    <row r="21" spans="2:7">
      <c r="B21" s="10" t="s">
        <v>52</v>
      </c>
      <c r="C21" s="13">
        <v>0.99419999999999997</v>
      </c>
      <c r="D21" s="13">
        <v>0.99039999999999995</v>
      </c>
      <c r="E21" s="13">
        <v>0.99150000000000005</v>
      </c>
      <c r="F21" s="13">
        <v>0.97760000000000002</v>
      </c>
      <c r="G21" s="13">
        <v>0.90149999999999997</v>
      </c>
    </row>
    <row r="22" spans="2:7">
      <c r="B22" s="10" t="s">
        <v>53</v>
      </c>
      <c r="C22" s="13">
        <v>4.2090000000000001E-3</v>
      </c>
      <c r="D22" s="13">
        <v>6.2310000000000004E-3</v>
      </c>
      <c r="E22" s="13">
        <v>4.4060000000000002E-3</v>
      </c>
      <c r="F22" s="13">
        <v>6.6059999999999999E-3</v>
      </c>
      <c r="G22" s="13">
        <v>1.528E-2</v>
      </c>
    </row>
    <row r="23" spans="2:7">
      <c r="B23" s="10" t="s">
        <v>54</v>
      </c>
      <c r="C23" s="13">
        <v>5.9719999999999999E-3</v>
      </c>
      <c r="D23" s="13">
        <v>7.267E-3</v>
      </c>
      <c r="E23" s="13">
        <v>6.1110000000000001E-3</v>
      </c>
      <c r="F23" s="13">
        <v>7.4819999999999999E-3</v>
      </c>
      <c r="G23" s="13">
        <v>1.1379999999999999E-2</v>
      </c>
    </row>
    <row r="24" spans="2:7">
      <c r="B24" s="10" t="s">
        <v>55</v>
      </c>
      <c r="C24" s="13"/>
      <c r="D24" s="13"/>
      <c r="E24" s="13"/>
      <c r="F24" s="13"/>
      <c r="G24" s="13"/>
    </row>
    <row r="25" spans="2:7">
      <c r="B25" s="10" t="s">
        <v>23</v>
      </c>
      <c r="C25" s="13" t="s">
        <v>56</v>
      </c>
      <c r="D25" s="13" t="s">
        <v>56</v>
      </c>
      <c r="E25" s="13" t="s">
        <v>56</v>
      </c>
      <c r="F25" s="13" t="s">
        <v>56</v>
      </c>
      <c r="G25" s="13" t="s">
        <v>56</v>
      </c>
    </row>
    <row r="26" spans="2:7">
      <c r="B26" s="10" t="s">
        <v>25</v>
      </c>
      <c r="C26" s="13" t="s">
        <v>57</v>
      </c>
      <c r="D26" s="13" t="s">
        <v>57</v>
      </c>
      <c r="E26" s="13" t="s">
        <v>57</v>
      </c>
      <c r="F26" s="13" t="s">
        <v>57</v>
      </c>
      <c r="G26" s="13" t="s">
        <v>57</v>
      </c>
    </row>
    <row r="27" spans="2:7">
      <c r="B27" s="10"/>
      <c r="C27" s="13"/>
      <c r="D27" s="13"/>
      <c r="E27" s="13"/>
      <c r="F27" s="13"/>
      <c r="G27" s="13"/>
    </row>
    <row r="28" spans="2:7">
      <c r="B28" s="10" t="s">
        <v>58</v>
      </c>
      <c r="C28" s="13"/>
      <c r="D28" s="13"/>
      <c r="E28" s="13"/>
      <c r="F28" s="13"/>
      <c r="G28" s="13"/>
    </row>
    <row r="29" spans="2:7">
      <c r="B29" s="10" t="s">
        <v>59</v>
      </c>
      <c r="C29" s="13">
        <v>120</v>
      </c>
      <c r="D29" s="13">
        <v>120</v>
      </c>
      <c r="E29" s="13">
        <v>120</v>
      </c>
      <c r="F29" s="13">
        <v>120</v>
      </c>
      <c r="G29" s="13">
        <v>120</v>
      </c>
    </row>
    <row r="30" spans="2:7">
      <c r="B30" s="10" t="s">
        <v>60</v>
      </c>
      <c r="C30" s="13">
        <v>120</v>
      </c>
      <c r="D30" s="13">
        <v>120</v>
      </c>
      <c r="E30" s="13">
        <v>120</v>
      </c>
      <c r="F30" s="13">
        <v>120</v>
      </c>
      <c r="G30" s="13">
        <v>120</v>
      </c>
    </row>
    <row r="32" spans="2:7">
      <c r="B32" t="s">
        <v>61</v>
      </c>
      <c r="C32" t="s">
        <v>62</v>
      </c>
    </row>
    <row r="34" spans="1:7">
      <c r="A34" t="s">
        <v>63</v>
      </c>
      <c r="B34" t="s">
        <v>64</v>
      </c>
      <c r="C34" s="1">
        <v>0.03</v>
      </c>
      <c r="D34" s="1">
        <v>0.06</v>
      </c>
      <c r="E34" s="1">
        <v>0.12</v>
      </c>
      <c r="F34" s="1">
        <v>0.24</v>
      </c>
      <c r="G34" s="1">
        <v>0.48</v>
      </c>
    </row>
    <row r="35" spans="1:7">
      <c r="A35" t="s">
        <v>65</v>
      </c>
      <c r="B35">
        <v>0</v>
      </c>
      <c r="C35">
        <f>C8+(C9-C8)*(1-EXP(-C10*$B35))</f>
        <v>0</v>
      </c>
      <c r="D35">
        <f>D8+(D9-D8)*(1-EXP(-D10*$B35))</f>
        <v>0</v>
      </c>
      <c r="E35">
        <f>E8+(E9-E8)*(1-EXP(-E10*$B35))</f>
        <v>0</v>
      </c>
      <c r="F35">
        <f>F8+(F9-F8)*(1-EXP(-F10*$B35))</f>
        <v>0</v>
      </c>
      <c r="G35">
        <f>G8+(G9-G8)*(1-EXP(-G10*$B35))</f>
        <v>0</v>
      </c>
    </row>
    <row r="36" spans="1:7">
      <c r="A36" t="s">
        <v>66</v>
      </c>
      <c r="B36">
        <v>1</v>
      </c>
      <c r="C36" s="6">
        <f>C8+(C9-C8)*(1-EXP(-C10*$B36))</f>
        <v>1.9092129875462029E-2</v>
      </c>
      <c r="D36" s="6">
        <f t="shared" ref="D36:G36" si="0">D8+(D9-D8)*(1-EXP(-D10*$B36))</f>
        <v>2.5025657954487156E-2</v>
      </c>
      <c r="E36" s="6">
        <f t="shared" si="0"/>
        <v>3.8457832593861443E-2</v>
      </c>
      <c r="F36" s="6">
        <f t="shared" si="0"/>
        <v>5.9167986059054448E-2</v>
      </c>
      <c r="G36" s="6">
        <f t="shared" si="0"/>
        <v>9.5527702736792522E-2</v>
      </c>
    </row>
    <row r="37" spans="1:7">
      <c r="B37" t="s">
        <v>67</v>
      </c>
      <c r="C37" s="6">
        <f>(C36-C35)/($B$36-$B$35)</f>
        <v>1.9092129875462029E-2</v>
      </c>
      <c r="D37" s="6">
        <f>(D36-D35)/($B$36-$B$35)</f>
        <v>2.5025657954487156E-2</v>
      </c>
      <c r="E37" s="6">
        <f t="shared" ref="E37:G37" si="1">(E36-E35)/($B$36-$B$35)</f>
        <v>3.8457832593861443E-2</v>
      </c>
      <c r="F37" s="6">
        <f t="shared" si="1"/>
        <v>5.9167986059054448E-2</v>
      </c>
      <c r="G37" s="6">
        <f t="shared" si="1"/>
        <v>9.5527702736792522E-2</v>
      </c>
    </row>
    <row r="38" spans="1:7">
      <c r="B38" t="s">
        <v>68</v>
      </c>
      <c r="C38" s="6">
        <f>C37/0.005</f>
        <v>3.8184259750924054</v>
      </c>
      <c r="D38" s="6">
        <f t="shared" ref="D38:G38" si="2">D37/0.005</f>
        <v>5.005131590897431</v>
      </c>
      <c r="E38" s="6">
        <f t="shared" si="2"/>
        <v>7.6915665187722881</v>
      </c>
      <c r="F38" s="6">
        <f t="shared" si="2"/>
        <v>11.83359721181089</v>
      </c>
      <c r="G38" s="6">
        <f t="shared" si="2"/>
        <v>19.105540547358505</v>
      </c>
    </row>
    <row r="39" spans="1:7">
      <c r="D39" s="7"/>
      <c r="E39" s="7"/>
      <c r="F39" s="7"/>
      <c r="G39" s="7"/>
    </row>
    <row r="41" spans="1:7">
      <c r="B41" s="1" t="s">
        <v>69</v>
      </c>
      <c r="D41" s="7"/>
      <c r="E41" s="7"/>
      <c r="F41" s="7"/>
      <c r="G41" s="7"/>
    </row>
    <row r="42" spans="1:7">
      <c r="B42" t="s">
        <v>70</v>
      </c>
      <c r="D42" s="12"/>
      <c r="E42" s="12"/>
      <c r="F42" s="12"/>
      <c r="G42" s="12"/>
    </row>
    <row r="44" spans="1:7">
      <c r="B44" s="15" t="s">
        <v>71</v>
      </c>
      <c r="C44" s="14">
        <f>INDEX(LINEST(C38:G38,C34:G34, TRUE, TRUE), 1, 1)</f>
        <v>33.767015737415818</v>
      </c>
    </row>
    <row r="45" spans="1:7">
      <c r="B45" s="15" t="s">
        <v>72</v>
      </c>
      <c r="C45" s="7">
        <f>INDEX(LINEST(C38:G38,C34:G34, TRUE, TRUE), 2, 1)</f>
        <v>1.3836096758176115</v>
      </c>
    </row>
    <row r="46" spans="1:7">
      <c r="B46" t="s">
        <v>73</v>
      </c>
      <c r="C46" s="7">
        <f>INDEX(LINEST(C38:G38,C34:G34, TRUE, TRUE), 3, 1)</f>
        <v>0.99498834612524911</v>
      </c>
    </row>
    <row r="48" spans="1:7">
      <c r="B48" t="s">
        <v>74</v>
      </c>
    </row>
    <row r="50" spans="2:3">
      <c r="B50" t="s">
        <v>75</v>
      </c>
      <c r="C50" s="16">
        <f>C44*C51</f>
        <v>1451.9816767088801</v>
      </c>
    </row>
    <row r="51" spans="2:3">
      <c r="B51" t="s">
        <v>76</v>
      </c>
      <c r="C51" s="17">
        <v>43</v>
      </c>
    </row>
  </sheetData>
  <mergeCells count="1">
    <mergeCell ref="C4:G4"/>
  </mergeCells>
  <conditionalFormatting sqref="C46">
    <cfRule type="cellIs" dxfId="0" priority="1" operator="lessThan">
      <formula>0.95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98ae7559-10dc-4288-8e2e-4593e62fe3ee}" enabled="0" method="" siteId="{98ae7559-10dc-4288-8e2e-4593e62fe3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Helsinki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Gregorová, Pavlína</dc:creator>
  <cp:keywords/>
  <dc:description/>
  <cp:lastModifiedBy>misada1@jhu.edu</cp:lastModifiedBy>
  <cp:revision/>
  <dcterms:created xsi:type="dcterms:W3CDTF">2026-05-28T09:13:35Z</dcterms:created>
  <dcterms:modified xsi:type="dcterms:W3CDTF">2026-05-28T15:11:35Z</dcterms:modified>
  <cp:category/>
  <cp:contentStatus/>
</cp:coreProperties>
</file>